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ocuments\Travail\Tableau_de_Bord\"/>
    </mc:Choice>
  </mc:AlternateContent>
  <xr:revisionPtr revIDLastSave="0" documentId="13_ncr:1_{533C34D7-F153-4075-82F3-F0FFD8F46C79}" xr6:coauthVersionLast="47" xr6:coauthVersionMax="47" xr10:uidLastSave="{00000000-0000-0000-0000-000000000000}"/>
  <bookViews>
    <workbookView xWindow="-108" yWindow="-108" windowWidth="23256" windowHeight="12456" xr2:uid="{D37B2BAE-5201-4CF8-9AA3-1EB2E07A0BA4}"/>
  </bookViews>
  <sheets>
    <sheet name="TDB R3.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G71" i="1"/>
  <c r="H71" i="1"/>
  <c r="I71" i="1"/>
  <c r="E71" i="1"/>
  <c r="I69" i="1"/>
  <c r="H69" i="1"/>
  <c r="G69" i="1"/>
  <c r="F69" i="1"/>
  <c r="E69" i="1"/>
  <c r="S58" i="1"/>
  <c r="R57" i="1"/>
  <c r="Q56" i="1"/>
  <c r="Q63" i="1"/>
  <c r="R63" i="1"/>
  <c r="S63" i="1"/>
  <c r="P63" i="1"/>
  <c r="P60" i="1"/>
  <c r="P64" i="1" s="1"/>
  <c r="O61" i="1"/>
  <c r="R60" i="1" s="1"/>
  <c r="R64" i="1" s="1"/>
  <c r="O60" i="1"/>
  <c r="O59" i="1"/>
  <c r="O58" i="1"/>
  <c r="O57" i="1"/>
  <c r="O56" i="1"/>
  <c r="O51" i="1"/>
  <c r="S51" i="1" s="1"/>
  <c r="R49" i="1"/>
  <c r="Q49" i="1"/>
  <c r="Q48" i="1"/>
  <c r="P48" i="1"/>
  <c r="P52" i="1" s="1"/>
  <c r="H48" i="1" s="1"/>
  <c r="O49" i="1"/>
  <c r="O50" i="1"/>
  <c r="R50" i="1" s="1"/>
  <c r="R52" i="1" s="1"/>
  <c r="J48" i="1" s="1"/>
  <c r="J52" i="1" s="1"/>
  <c r="O48" i="1"/>
  <c r="E50" i="1"/>
  <c r="E48" i="1"/>
  <c r="E47" i="1" s="1"/>
  <c r="E51" i="1" s="1"/>
  <c r="K47" i="1"/>
  <c r="K50" i="1"/>
  <c r="E46" i="1"/>
  <c r="J50" i="1"/>
  <c r="J49" i="1"/>
  <c r="J47" i="1"/>
  <c r="I50" i="1"/>
  <c r="I47" i="1"/>
  <c r="H51" i="1"/>
  <c r="H50" i="1"/>
  <c r="H47" i="1"/>
  <c r="D50" i="1"/>
  <c r="D48" i="1"/>
  <c r="K49" i="1" s="1"/>
  <c r="D46" i="1"/>
  <c r="C48" i="1"/>
  <c r="C46" i="1"/>
  <c r="B50" i="1"/>
  <c r="B48" i="1"/>
  <c r="B47" i="1" s="1"/>
  <c r="B46" i="1"/>
  <c r="C50" i="1"/>
  <c r="C47" i="1"/>
  <c r="C51" i="1" s="1"/>
  <c r="D52" i="1" s="1"/>
  <c r="J51" i="1" s="1"/>
  <c r="D39" i="1"/>
  <c r="D38" i="1"/>
  <c r="D37" i="1" s="1"/>
  <c r="D36" i="1"/>
  <c r="E41" i="1"/>
  <c r="C40" i="1"/>
  <c r="C39" i="1"/>
  <c r="C38" i="1"/>
  <c r="C37" i="1" s="1"/>
  <c r="C41" i="1" s="1"/>
  <c r="E37" i="1"/>
  <c r="B37" i="1"/>
  <c r="B41" i="1" s="1"/>
  <c r="C29" i="1"/>
  <c r="G29" i="1"/>
  <c r="H29" i="1"/>
  <c r="I29" i="1"/>
  <c r="D31" i="1"/>
  <c r="C31" i="1"/>
  <c r="D29" i="1"/>
  <c r="L16" i="1"/>
  <c r="K16" i="1"/>
  <c r="M16" i="1" s="1"/>
  <c r="F16" i="1"/>
  <c r="E16" i="1"/>
  <c r="G16" i="1" s="1"/>
  <c r="L17" i="1"/>
  <c r="K17" i="1"/>
  <c r="M17" i="1" s="1"/>
  <c r="F17" i="1"/>
  <c r="E17" i="1"/>
  <c r="G17" i="1" s="1"/>
  <c r="L15" i="1"/>
  <c r="K15" i="1"/>
  <c r="M15" i="1" s="1"/>
  <c r="F15" i="1"/>
  <c r="E15" i="1"/>
  <c r="G15" i="1" s="1"/>
  <c r="J10" i="1"/>
  <c r="J9" i="1"/>
  <c r="J11" i="1" s="1"/>
  <c r="I9" i="1"/>
  <c r="B9" i="1"/>
  <c r="B10" i="1"/>
  <c r="I10" i="1" s="1"/>
  <c r="C10" i="1"/>
  <c r="C9" i="1"/>
  <c r="C11" i="1" s="1"/>
  <c r="L4" i="1"/>
  <c r="L3" i="1"/>
  <c r="K4" i="1"/>
  <c r="K3" i="1"/>
  <c r="M3" i="1" s="1"/>
  <c r="F4" i="1"/>
  <c r="F3" i="1"/>
  <c r="F5" i="1" s="1"/>
  <c r="E4" i="1"/>
  <c r="E10" i="1" s="1"/>
  <c r="E3" i="1"/>
  <c r="G3" i="1" s="1"/>
  <c r="Q60" i="1" l="1"/>
  <c r="Q64" i="1" s="1"/>
  <c r="S60" i="1"/>
  <c r="S64" i="1" s="1"/>
  <c r="H52" i="1"/>
  <c r="K9" i="1"/>
  <c r="I49" i="1"/>
  <c r="S50" i="1"/>
  <c r="S52" i="1" s="1"/>
  <c r="K48" i="1" s="1"/>
  <c r="Q52" i="1"/>
  <c r="I48" i="1" s="1"/>
  <c r="N15" i="1"/>
  <c r="G18" i="1"/>
  <c r="F10" i="1"/>
  <c r="G10" i="1" s="1"/>
  <c r="F18" i="1"/>
  <c r="D41" i="1"/>
  <c r="O3" i="1"/>
  <c r="O4" i="1"/>
  <c r="D47" i="1"/>
  <c r="D51" i="1" s="1"/>
  <c r="E52" i="1" s="1"/>
  <c r="K51" i="1" s="1"/>
  <c r="B51" i="1"/>
  <c r="C52" i="1" s="1"/>
  <c r="I51" i="1" s="1"/>
  <c r="N4" i="1"/>
  <c r="G4" i="1"/>
  <c r="G5" i="1" s="1"/>
  <c r="P15" i="1"/>
  <c r="D10" i="1"/>
  <c r="M4" i="1"/>
  <c r="L5" i="1"/>
  <c r="N5" i="1" s="1"/>
  <c r="E9" i="1"/>
  <c r="E11" i="1" s="1"/>
  <c r="N3" i="1"/>
  <c r="B11" i="1"/>
  <c r="O17" i="1"/>
  <c r="N16" i="1"/>
  <c r="Q16" i="1"/>
  <c r="P16" i="1"/>
  <c r="O16" i="1"/>
  <c r="I11" i="1"/>
  <c r="K10" i="1"/>
  <c r="K11" i="1"/>
  <c r="P3" i="1"/>
  <c r="Q3" i="1"/>
  <c r="O15" i="1"/>
  <c r="F9" i="1"/>
  <c r="N17" i="1"/>
  <c r="M18" i="1"/>
  <c r="Q15" i="1"/>
  <c r="Q17" i="1"/>
  <c r="P17" i="1"/>
  <c r="L18" i="1"/>
  <c r="D9" i="1"/>
  <c r="K52" i="1" l="1"/>
  <c r="I52" i="1"/>
  <c r="P4" i="1"/>
  <c r="D11" i="1"/>
  <c r="Q4" i="1"/>
  <c r="M5" i="1"/>
  <c r="P5" i="1" s="1"/>
  <c r="O5" i="1"/>
  <c r="Q5" i="1"/>
  <c r="G9" i="1"/>
  <c r="G11" i="1" s="1"/>
  <c r="F11" i="1"/>
  <c r="O18" i="1"/>
  <c r="N18" i="1"/>
  <c r="Q18" i="1"/>
  <c r="P18" i="1"/>
</calcChain>
</file>

<file path=xl/sharedStrings.xml><?xml version="1.0" encoding="utf-8"?>
<sst xmlns="http://schemas.openxmlformats.org/spreadsheetml/2006/main" count="166" uniqueCount="98">
  <si>
    <t>Quantité</t>
  </si>
  <si>
    <t>Prix Vente HT</t>
  </si>
  <si>
    <t>Coût Unitaire</t>
  </si>
  <si>
    <t>Marge Unitaire</t>
  </si>
  <si>
    <t>Détaillants</t>
  </si>
  <si>
    <t>GMS</t>
  </si>
  <si>
    <t>Entreprise</t>
  </si>
  <si>
    <t>CA Prévisonnel</t>
  </si>
  <si>
    <t>Marge Globale</t>
  </si>
  <si>
    <t>Prévisionnel</t>
  </si>
  <si>
    <t>Réel</t>
  </si>
  <si>
    <t>Chiffre Affaires</t>
  </si>
  <si>
    <t>écart</t>
  </si>
  <si>
    <t>Marge</t>
  </si>
  <si>
    <t>Tx réalisation</t>
  </si>
  <si>
    <t>Analyse CA</t>
  </si>
  <si>
    <t>Ecart Prix</t>
  </si>
  <si>
    <t>Ecart Quantité</t>
  </si>
  <si>
    <t>Ecart CA</t>
  </si>
  <si>
    <t>Ecart Marge Unitaire</t>
  </si>
  <si>
    <t>Analyse Marge Globale</t>
  </si>
  <si>
    <t>Ecart Marge Globale</t>
  </si>
  <si>
    <t>Analyse Marge unitaire</t>
  </si>
  <si>
    <t>Ecart Coût</t>
  </si>
  <si>
    <t>Exercice 1 :</t>
  </si>
  <si>
    <t>Exercice 2 :</t>
  </si>
  <si>
    <t>Collection 1</t>
  </si>
  <si>
    <t>Collection 2</t>
  </si>
  <si>
    <t>Collection 3</t>
  </si>
  <si>
    <t>Trésorerie :</t>
  </si>
  <si>
    <t>Ventes annuelles HT</t>
  </si>
  <si>
    <t>Coef d'Octobre</t>
  </si>
  <si>
    <t>Ventes Octobre HT</t>
  </si>
  <si>
    <t xml:space="preserve">Ventes Octobre TTC </t>
  </si>
  <si>
    <t>Ventes particuliers</t>
  </si>
  <si>
    <t>Ventes pro</t>
  </si>
  <si>
    <t>80% - Comptant</t>
  </si>
  <si>
    <t>20% - 30j</t>
  </si>
  <si>
    <t>40% - 30j</t>
  </si>
  <si>
    <t>60% - 60j</t>
  </si>
  <si>
    <t>Budget encaissements</t>
  </si>
  <si>
    <t>Octobre</t>
  </si>
  <si>
    <t>Novembre</t>
  </si>
  <si>
    <t>Decembre</t>
  </si>
  <si>
    <t>Ventes Part. comptant</t>
  </si>
  <si>
    <t>Ventes Part. 30j</t>
  </si>
  <si>
    <t>Ventes Pro 30j</t>
  </si>
  <si>
    <t xml:space="preserve">Ventes Pro 60j </t>
  </si>
  <si>
    <t>T</t>
  </si>
  <si>
    <t xml:space="preserve">Budget TVA </t>
  </si>
  <si>
    <t>TVA Collectée</t>
  </si>
  <si>
    <t>TVA Déductible</t>
  </si>
  <si>
    <t>Janvier</t>
  </si>
  <si>
    <t>Février</t>
  </si>
  <si>
    <t xml:space="preserve">Mars </t>
  </si>
  <si>
    <t>Avril</t>
  </si>
  <si>
    <t xml:space="preserve">Exercice 2 : </t>
  </si>
  <si>
    <t>Achat</t>
  </si>
  <si>
    <t>Charges</t>
  </si>
  <si>
    <t>Investissements</t>
  </si>
  <si>
    <t>TVA Payée</t>
  </si>
  <si>
    <t>Déc</t>
  </si>
  <si>
    <t>Exercice 3:</t>
  </si>
  <si>
    <t>Charges personnel</t>
  </si>
  <si>
    <t>Autres Charges</t>
  </si>
  <si>
    <t>TVA à Payer</t>
  </si>
  <si>
    <t>Trésorerie</t>
  </si>
  <si>
    <t>Ventes HT</t>
  </si>
  <si>
    <t xml:space="preserve">Ventes TTC </t>
  </si>
  <si>
    <t>Achat Mois Précé</t>
  </si>
  <si>
    <t>Charge</t>
  </si>
  <si>
    <t>Mars</t>
  </si>
  <si>
    <t>HT</t>
  </si>
  <si>
    <t>TTC</t>
  </si>
  <si>
    <t>Ventes Decembre</t>
  </si>
  <si>
    <t>Ventes Janvier</t>
  </si>
  <si>
    <t>Ventes Février</t>
  </si>
  <si>
    <t>Ventes Mars</t>
  </si>
  <si>
    <t>Encaissement</t>
  </si>
  <si>
    <t>Ventes Avril</t>
  </si>
  <si>
    <t>Budget décaissements</t>
  </si>
  <si>
    <t>Personnels</t>
  </si>
  <si>
    <t>TVA</t>
  </si>
  <si>
    <t>R3,08</t>
  </si>
  <si>
    <t>Ex,1</t>
  </si>
  <si>
    <t xml:space="preserve">Nombre e mail envoyé </t>
  </si>
  <si>
    <t>Nombre email délivré</t>
  </si>
  <si>
    <t>Nombre email ouverts</t>
  </si>
  <si>
    <t>nombre de clic unique</t>
  </si>
  <si>
    <t>nombre de désinscription</t>
  </si>
  <si>
    <t>Taux</t>
  </si>
  <si>
    <t>Ecart</t>
  </si>
  <si>
    <t>taux de délivrabilité</t>
  </si>
  <si>
    <t>taux ouverture</t>
  </si>
  <si>
    <t>taux de clic</t>
  </si>
  <si>
    <t>taux réactivité</t>
  </si>
  <si>
    <t>Taux désinscription</t>
  </si>
  <si>
    <t>Moyenne 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</si>
</sst>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3" borderId="1" xfId="0" applyFill="1" applyBorder="1"/>
    <xf numFmtId="44" fontId="0" fillId="0" borderId="1" xfId="0" applyNumberFormat="1" applyBorder="1"/>
    <xf numFmtId="44" fontId="0" fillId="2" borderId="1" xfId="0" applyNumberFormat="1" applyFill="1" applyBorder="1"/>
    <xf numFmtId="44" fontId="0" fillId="6" borderId="1" xfId="0" applyNumberFormat="1" applyFill="1" applyBorder="1"/>
    <xf numFmtId="44" fontId="0" fillId="2" borderId="2" xfId="0" applyNumberFormat="1" applyFill="1" applyBorder="1"/>
    <xf numFmtId="44" fontId="0" fillId="2" borderId="3" xfId="0" applyNumberFormat="1" applyFill="1" applyBorder="1"/>
    <xf numFmtId="44" fontId="0" fillId="8" borderId="1" xfId="0" applyNumberFormat="1" applyFill="1" applyBorder="1"/>
    <xf numFmtId="44" fontId="0" fillId="9" borderId="1" xfId="0" applyNumberFormat="1" applyFill="1" applyBorder="1"/>
    <xf numFmtId="0" fontId="0" fillId="3" borderId="3" xfId="0" applyFill="1" applyBorder="1"/>
    <xf numFmtId="44" fontId="0" fillId="9" borderId="3" xfId="0" applyNumberFormat="1" applyFill="1" applyBorder="1"/>
    <xf numFmtId="0" fontId="0" fillId="3" borderId="4" xfId="0" applyFill="1" applyBorder="1"/>
    <xf numFmtId="44" fontId="0" fillId="2" borderId="4" xfId="0" applyNumberFormat="1" applyFill="1" applyBorder="1"/>
    <xf numFmtId="44" fontId="0" fillId="0" borderId="4" xfId="0" applyNumberFormat="1" applyBorder="1"/>
    <xf numFmtId="0" fontId="0" fillId="7" borderId="4" xfId="0" applyFill="1" applyBorder="1"/>
    <xf numFmtId="10" fontId="0" fillId="0" borderId="3" xfId="0" applyNumberFormat="1" applyBorder="1"/>
    <xf numFmtId="0" fontId="0" fillId="3" borderId="12" xfId="0" applyFill="1" applyBorder="1"/>
    <xf numFmtId="44" fontId="0" fillId="7" borderId="12" xfId="0" applyNumberFormat="1" applyFill="1" applyBorder="1"/>
    <xf numFmtId="44" fontId="0" fillId="0" borderId="14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3" borderId="13" xfId="0" applyFill="1" applyBorder="1"/>
    <xf numFmtId="0" fontId="0" fillId="7" borderId="12" xfId="0" applyFill="1" applyBorder="1"/>
    <xf numFmtId="10" fontId="0" fillId="0" borderId="13" xfId="0" applyNumberFormat="1" applyBorder="1"/>
    <xf numFmtId="0" fontId="0" fillId="0" borderId="26" xfId="0" applyBorder="1"/>
    <xf numFmtId="44" fontId="0" fillId="2" borderId="16" xfId="0" applyNumberFormat="1" applyFill="1" applyBorder="1"/>
    <xf numFmtId="10" fontId="0" fillId="0" borderId="16" xfId="0" applyNumberFormat="1" applyBorder="1"/>
    <xf numFmtId="10" fontId="0" fillId="0" borderId="18" xfId="0" applyNumberFormat="1" applyBorder="1"/>
    <xf numFmtId="44" fontId="0" fillId="6" borderId="27" xfId="0" applyNumberFormat="1" applyFill="1" applyBorder="1"/>
    <xf numFmtId="0" fontId="0" fillId="7" borderId="28" xfId="0" applyFill="1" applyBorder="1"/>
    <xf numFmtId="44" fontId="0" fillId="8" borderId="2" xfId="0" applyNumberFormat="1" applyFill="1" applyBorder="1"/>
    <xf numFmtId="44" fontId="0" fillId="9" borderId="2" xfId="0" applyNumberFormat="1" applyFill="1" applyBorder="1"/>
    <xf numFmtId="0" fontId="0" fillId="7" borderId="29" xfId="0" applyFill="1" applyBorder="1"/>
    <xf numFmtId="44" fontId="0" fillId="0" borderId="30" xfId="0" applyNumberFormat="1" applyBorder="1"/>
    <xf numFmtId="0" fontId="0" fillId="0" borderId="31" xfId="0" applyBorder="1"/>
    <xf numFmtId="44" fontId="0" fillId="0" borderId="32" xfId="0" applyNumberFormat="1" applyBorder="1"/>
    <xf numFmtId="44" fontId="0" fillId="0" borderId="31" xfId="0" applyNumberFormat="1" applyBorder="1"/>
    <xf numFmtId="0" fontId="0" fillId="4" borderId="0" xfId="0" applyFill="1"/>
    <xf numFmtId="0" fontId="0" fillId="10" borderId="1" xfId="0" applyFill="1" applyBorder="1"/>
    <xf numFmtId="0" fontId="0" fillId="6" borderId="1" xfId="0" applyFill="1" applyBorder="1"/>
    <xf numFmtId="9" fontId="0" fillId="6" borderId="1" xfId="0" applyNumberFormat="1" applyFill="1" applyBorder="1"/>
    <xf numFmtId="3" fontId="0" fillId="6" borderId="1" xfId="0" applyNumberFormat="1" applyFill="1" applyBorder="1"/>
    <xf numFmtId="0" fontId="0" fillId="2" borderId="1" xfId="0" applyFill="1" applyBorder="1"/>
    <xf numFmtId="43" fontId="0" fillId="11" borderId="1" xfId="1" applyFont="1" applyFill="1" applyBorder="1"/>
    <xf numFmtId="43" fontId="0" fillId="0" borderId="0" xfId="1" applyFont="1"/>
    <xf numFmtId="43" fontId="0" fillId="2" borderId="1" xfId="1" applyFont="1" applyFill="1" applyBorder="1"/>
    <xf numFmtId="43" fontId="0" fillId="10" borderId="1" xfId="1" applyFont="1" applyFill="1" applyBorder="1"/>
    <xf numFmtId="43" fontId="0" fillId="6" borderId="1" xfId="1" applyFont="1" applyFill="1" applyBorder="1"/>
    <xf numFmtId="164" fontId="0" fillId="6" borderId="1" xfId="2" applyNumberFormat="1" applyFont="1" applyFill="1" applyBorder="1" applyAlignment="1">
      <alignment horizontal="right"/>
    </xf>
    <xf numFmtId="0" fontId="0" fillId="2" borderId="33" xfId="0" applyFill="1" applyBorder="1"/>
    <xf numFmtId="43" fontId="0" fillId="0" borderId="0" xfId="0" applyNumberFormat="1"/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44" fontId="0" fillId="0" borderId="16" xfId="0" applyNumberFormat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18" xfId="0" applyNumberForma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0" fontId="0" fillId="0" borderId="0" xfId="3" applyNumberFormat="1" applyFont="1"/>
    <xf numFmtId="10" fontId="0" fillId="0" borderId="0" xfId="0" applyNumberForma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563A-7D78-4352-B753-A0AC5A17D6F6}">
  <dimension ref="A1:S73"/>
  <sheetViews>
    <sheetView tabSelected="1" topLeftCell="A45" zoomScale="70" workbookViewId="0">
      <selection activeCell="J74" sqref="J74"/>
    </sheetView>
  </sheetViews>
  <sheetFormatPr baseColWidth="10" defaultRowHeight="14.4" x14ac:dyDescent="0.3"/>
  <cols>
    <col min="1" max="1" width="22.44140625" bestFit="1" customWidth="1"/>
    <col min="2" max="2" width="11.6640625" bestFit="1" customWidth="1"/>
    <col min="3" max="3" width="14.21875" bestFit="1" customWidth="1"/>
    <col min="4" max="4" width="14.109375" bestFit="1" customWidth="1"/>
    <col min="5" max="5" width="16.77734375" bestFit="1" customWidth="1"/>
    <col min="6" max="6" width="19.77734375" bestFit="1" customWidth="1"/>
    <col min="7" max="7" width="16.33203125" bestFit="1" customWidth="1"/>
    <col min="8" max="8" width="13.44140625" bestFit="1" customWidth="1"/>
    <col min="9" max="9" width="17.21875" bestFit="1" customWidth="1"/>
    <col min="10" max="10" width="14.88671875" bestFit="1" customWidth="1"/>
    <col min="11" max="12" width="13.44140625" bestFit="1" customWidth="1"/>
    <col min="13" max="13" width="20" bestFit="1" customWidth="1"/>
    <col min="14" max="14" width="14.88671875" bestFit="1" customWidth="1"/>
    <col min="15" max="19" width="13.44140625" bestFit="1" customWidth="1"/>
  </cols>
  <sheetData>
    <row r="1" spans="1:17" x14ac:dyDescent="0.3">
      <c r="A1" t="s">
        <v>24</v>
      </c>
      <c r="B1" s="61" t="s">
        <v>9</v>
      </c>
      <c r="C1" s="62"/>
      <c r="D1" s="62"/>
      <c r="E1" s="62"/>
      <c r="F1" s="62"/>
      <c r="G1" s="59"/>
      <c r="H1" s="58" t="s">
        <v>10</v>
      </c>
      <c r="I1" s="62"/>
      <c r="J1" s="62"/>
      <c r="K1" s="62"/>
      <c r="L1" s="62"/>
      <c r="M1" s="59"/>
      <c r="N1" s="58" t="s">
        <v>11</v>
      </c>
      <c r="O1" s="59"/>
      <c r="P1" s="58" t="s">
        <v>13</v>
      </c>
      <c r="Q1" s="60"/>
    </row>
    <row r="2" spans="1:17" ht="15" thickBot="1" x14ac:dyDescent="0.35">
      <c r="B2" s="16" t="s">
        <v>0</v>
      </c>
      <c r="C2" s="1" t="s">
        <v>1</v>
      </c>
      <c r="D2" s="1" t="s">
        <v>2</v>
      </c>
      <c r="E2" s="1" t="s">
        <v>3</v>
      </c>
      <c r="F2" s="1" t="s">
        <v>7</v>
      </c>
      <c r="G2" s="9" t="s">
        <v>8</v>
      </c>
      <c r="H2" s="11" t="s">
        <v>0</v>
      </c>
      <c r="I2" s="1" t="s">
        <v>1</v>
      </c>
      <c r="J2" s="1" t="s">
        <v>2</v>
      </c>
      <c r="K2" s="1" t="s">
        <v>3</v>
      </c>
      <c r="L2" s="1" t="s">
        <v>7</v>
      </c>
      <c r="M2" s="9" t="s">
        <v>8</v>
      </c>
      <c r="N2" s="11" t="s">
        <v>12</v>
      </c>
      <c r="O2" s="9" t="s">
        <v>14</v>
      </c>
      <c r="P2" s="11" t="s">
        <v>12</v>
      </c>
      <c r="Q2" s="28" t="s">
        <v>14</v>
      </c>
    </row>
    <row r="3" spans="1:17" x14ac:dyDescent="0.3">
      <c r="A3" s="25" t="s">
        <v>4</v>
      </c>
      <c r="B3" s="29">
        <v>10000</v>
      </c>
      <c r="C3" s="7">
        <v>60</v>
      </c>
      <c r="D3" s="8">
        <v>36</v>
      </c>
      <c r="E3" s="3">
        <f>C3-D3</f>
        <v>24</v>
      </c>
      <c r="F3" s="4">
        <f>B3*C3</f>
        <v>600000</v>
      </c>
      <c r="G3" s="6">
        <f>E3*B3</f>
        <v>240000</v>
      </c>
      <c r="H3" s="14">
        <v>9500</v>
      </c>
      <c r="I3" s="7">
        <v>59</v>
      </c>
      <c r="J3" s="8">
        <v>33</v>
      </c>
      <c r="K3" s="3">
        <f>I3-J3</f>
        <v>26</v>
      </c>
      <c r="L3" s="4">
        <f>H3*I3</f>
        <v>560500</v>
      </c>
      <c r="M3" s="6">
        <f>H3*K3</f>
        <v>247000</v>
      </c>
      <c r="N3" s="13">
        <f>L3-F3</f>
        <v>-39500</v>
      </c>
      <c r="O3" s="15">
        <f>L3/F3</f>
        <v>0.9341666666666667</v>
      </c>
      <c r="P3" s="13">
        <f>M3-G3</f>
        <v>7000</v>
      </c>
      <c r="Q3" s="30">
        <f>M3/G3</f>
        <v>1.0291666666666666</v>
      </c>
    </row>
    <row r="4" spans="1:17" ht="15" thickBot="1" x14ac:dyDescent="0.35">
      <c r="A4" s="26" t="s">
        <v>5</v>
      </c>
      <c r="B4" s="36">
        <v>5000</v>
      </c>
      <c r="C4" s="37">
        <v>55</v>
      </c>
      <c r="D4" s="38">
        <v>33</v>
      </c>
      <c r="E4" s="5">
        <f>C4-D4</f>
        <v>22</v>
      </c>
      <c r="F4" s="4">
        <f>B4*C4</f>
        <v>275000</v>
      </c>
      <c r="G4" s="6">
        <f>E4*B4</f>
        <v>110000</v>
      </c>
      <c r="H4" s="39">
        <v>5400</v>
      </c>
      <c r="I4" s="37">
        <v>54.5</v>
      </c>
      <c r="J4" s="38">
        <v>35</v>
      </c>
      <c r="K4" s="5">
        <f>I4-J4</f>
        <v>19.5</v>
      </c>
      <c r="L4" s="4">
        <f>H4*I4</f>
        <v>294300</v>
      </c>
      <c r="M4" s="6">
        <f>H4*K4</f>
        <v>105300</v>
      </c>
      <c r="N4" s="13">
        <f t="shared" ref="N4:N5" si="0">L4-F4</f>
        <v>19300</v>
      </c>
      <c r="O4" s="15">
        <f t="shared" ref="O4:O5" si="1">L4/F4</f>
        <v>1.0701818181818181</v>
      </c>
      <c r="P4" s="13">
        <f t="shared" ref="P4:P5" si="2">M4-G4</f>
        <v>-4700</v>
      </c>
      <c r="Q4" s="30">
        <f t="shared" ref="Q4:Q5" si="3">M4/G4</f>
        <v>0.95727272727272728</v>
      </c>
    </row>
    <row r="5" spans="1:17" ht="15" thickBot="1" x14ac:dyDescent="0.35">
      <c r="A5" s="27" t="s">
        <v>6</v>
      </c>
      <c r="B5" s="43"/>
      <c r="C5" s="42"/>
      <c r="D5" s="42"/>
      <c r="E5" s="40"/>
      <c r="F5" s="35">
        <f>F3+F4</f>
        <v>875000</v>
      </c>
      <c r="G5" s="32">
        <f>G3+G4</f>
        <v>350000</v>
      </c>
      <c r="H5" s="41"/>
      <c r="I5" s="42"/>
      <c r="J5" s="42"/>
      <c r="K5" s="40"/>
      <c r="L5" s="35">
        <f t="shared" ref="L5:M5" si="4">L3+L4</f>
        <v>854800</v>
      </c>
      <c r="M5" s="32">
        <f t="shared" si="4"/>
        <v>352300</v>
      </c>
      <c r="N5" s="21">
        <f t="shared" si="0"/>
        <v>-20200</v>
      </c>
      <c r="O5" s="33">
        <f t="shared" si="1"/>
        <v>0.97691428571428574</v>
      </c>
      <c r="P5" s="21">
        <f t="shared" si="2"/>
        <v>2300</v>
      </c>
      <c r="Q5" s="34">
        <f t="shared" si="3"/>
        <v>1.0065714285714287</v>
      </c>
    </row>
    <row r="6" spans="1:17" ht="15" thickBot="1" x14ac:dyDescent="0.35">
      <c r="K6" s="31"/>
    </row>
    <row r="7" spans="1:17" x14ac:dyDescent="0.3">
      <c r="B7" s="61" t="s">
        <v>15</v>
      </c>
      <c r="C7" s="62"/>
      <c r="D7" s="59"/>
      <c r="E7" s="58" t="s">
        <v>20</v>
      </c>
      <c r="F7" s="62"/>
      <c r="G7" s="62"/>
      <c r="H7" s="59"/>
      <c r="I7" s="72" t="s">
        <v>22</v>
      </c>
      <c r="J7" s="73"/>
      <c r="K7" s="73"/>
      <c r="L7" s="74"/>
    </row>
    <row r="8" spans="1:17" ht="15" thickBot="1" x14ac:dyDescent="0.35">
      <c r="B8" s="16" t="s">
        <v>16</v>
      </c>
      <c r="C8" s="1" t="s">
        <v>17</v>
      </c>
      <c r="D8" s="9" t="s">
        <v>18</v>
      </c>
      <c r="E8" s="11" t="s">
        <v>17</v>
      </c>
      <c r="F8" s="1" t="s">
        <v>19</v>
      </c>
      <c r="G8" s="63" t="s">
        <v>21</v>
      </c>
      <c r="H8" s="64"/>
      <c r="I8" s="11" t="s">
        <v>16</v>
      </c>
      <c r="J8" s="1" t="s">
        <v>23</v>
      </c>
      <c r="K8" s="63" t="s">
        <v>19</v>
      </c>
      <c r="L8" s="69"/>
    </row>
    <row r="9" spans="1:17" x14ac:dyDescent="0.3">
      <c r="A9" s="22" t="s">
        <v>4</v>
      </c>
      <c r="B9" s="17">
        <f>($I$3-$C$3)*$H$3</f>
        <v>-9500</v>
      </c>
      <c r="C9" s="7">
        <f>(H3-B3)*C3</f>
        <v>-30000</v>
      </c>
      <c r="D9" s="10">
        <f>B9+C9</f>
        <v>-39500</v>
      </c>
      <c r="E9" s="12">
        <f>(H3-B3)*E3</f>
        <v>-12000</v>
      </c>
      <c r="F9" s="4">
        <f>(K3-E3)*H3</f>
        <v>19000</v>
      </c>
      <c r="G9" s="65">
        <f>E9+F9</f>
        <v>7000</v>
      </c>
      <c r="H9" s="66"/>
      <c r="I9" s="13">
        <f>($I$3-$C$3)*$H$3</f>
        <v>-9500</v>
      </c>
      <c r="J9" s="2">
        <f>(J3-D3)*H3</f>
        <v>-28500</v>
      </c>
      <c r="K9" s="65">
        <f>I9-J9</f>
        <v>19000</v>
      </c>
      <c r="L9" s="70"/>
    </row>
    <row r="10" spans="1:17" x14ac:dyDescent="0.3">
      <c r="A10" s="23" t="s">
        <v>5</v>
      </c>
      <c r="B10" s="17">
        <f>(I4-C4)*H4</f>
        <v>-2700</v>
      </c>
      <c r="C10" s="7">
        <f>(H4-B4)*C4</f>
        <v>22000</v>
      </c>
      <c r="D10" s="10">
        <f>B10+C10</f>
        <v>19300</v>
      </c>
      <c r="E10" s="12">
        <f>(H4-B4)*E4</f>
        <v>8800</v>
      </c>
      <c r="F10" s="4">
        <f>(K4-E4)*H4</f>
        <v>-13500</v>
      </c>
      <c r="G10" s="65">
        <f>E10+F10</f>
        <v>-4700</v>
      </c>
      <c r="H10" s="66"/>
      <c r="I10" s="13">
        <f>B10</f>
        <v>-2700</v>
      </c>
      <c r="J10" s="2">
        <f>(J4-D4)*H4</f>
        <v>10800</v>
      </c>
      <c r="K10" s="65">
        <f>I10-J10</f>
        <v>-13500</v>
      </c>
      <c r="L10" s="70"/>
    </row>
    <row r="11" spans="1:17" ht="15" thickBot="1" x14ac:dyDescent="0.35">
      <c r="A11" s="24" t="s">
        <v>6</v>
      </c>
      <c r="B11" s="18">
        <f>B9+B10</f>
        <v>-12200</v>
      </c>
      <c r="C11" s="19">
        <f t="shared" ref="C11:D11" si="5">C9+C10</f>
        <v>-8000</v>
      </c>
      <c r="D11" s="20">
        <f t="shared" si="5"/>
        <v>-20200</v>
      </c>
      <c r="E11" s="21">
        <f t="shared" ref="E11" si="6">E9+E10</f>
        <v>-3200</v>
      </c>
      <c r="F11" s="19">
        <f t="shared" ref="F11" si="7">F9+F10</f>
        <v>5500</v>
      </c>
      <c r="G11" s="67">
        <f t="shared" ref="G11" si="8">G9+G10</f>
        <v>2300</v>
      </c>
      <c r="H11" s="68"/>
      <c r="I11" s="21">
        <f t="shared" ref="I11:J11" si="9">I9+I10</f>
        <v>-12200</v>
      </c>
      <c r="J11" s="19">
        <f t="shared" si="9"/>
        <v>-17700</v>
      </c>
      <c r="K11" s="67">
        <f>K9+K10</f>
        <v>5500</v>
      </c>
      <c r="L11" s="71"/>
    </row>
    <row r="12" spans="1:17" ht="15" thickBot="1" x14ac:dyDescent="0.35"/>
    <row r="13" spans="1:17" x14ac:dyDescent="0.3">
      <c r="A13" t="s">
        <v>25</v>
      </c>
      <c r="B13" s="61" t="s">
        <v>9</v>
      </c>
      <c r="C13" s="62"/>
      <c r="D13" s="62"/>
      <c r="E13" s="62"/>
      <c r="F13" s="62"/>
      <c r="G13" s="59"/>
      <c r="H13" s="58" t="s">
        <v>10</v>
      </c>
      <c r="I13" s="62"/>
      <c r="J13" s="62"/>
      <c r="K13" s="62"/>
      <c r="L13" s="62"/>
      <c r="M13" s="59"/>
      <c r="N13" s="58" t="s">
        <v>11</v>
      </c>
      <c r="O13" s="59"/>
      <c r="P13" s="58" t="s">
        <v>13</v>
      </c>
      <c r="Q13" s="60"/>
    </row>
    <row r="14" spans="1:17" ht="15" thickBot="1" x14ac:dyDescent="0.35">
      <c r="B14" s="16" t="s">
        <v>0</v>
      </c>
      <c r="C14" s="1" t="s">
        <v>1</v>
      </c>
      <c r="D14" s="1" t="s">
        <v>2</v>
      </c>
      <c r="E14" s="1" t="s">
        <v>3</v>
      </c>
      <c r="F14" s="1" t="s">
        <v>7</v>
      </c>
      <c r="G14" s="9" t="s">
        <v>8</v>
      </c>
      <c r="H14" s="11" t="s">
        <v>0</v>
      </c>
      <c r="I14" s="1" t="s">
        <v>1</v>
      </c>
      <c r="J14" s="1" t="s">
        <v>2</v>
      </c>
      <c r="K14" s="1" t="s">
        <v>3</v>
      </c>
      <c r="L14" s="1" t="s">
        <v>7</v>
      </c>
      <c r="M14" s="9" t="s">
        <v>8</v>
      </c>
      <c r="N14" s="11" t="s">
        <v>12</v>
      </c>
      <c r="O14" s="9" t="s">
        <v>14</v>
      </c>
      <c r="P14" s="11" t="s">
        <v>12</v>
      </c>
      <c r="Q14" s="28" t="s">
        <v>14</v>
      </c>
    </row>
    <row r="15" spans="1:17" x14ac:dyDescent="0.3">
      <c r="A15" s="25" t="s">
        <v>26</v>
      </c>
      <c r="B15" s="29">
        <v>736000</v>
      </c>
      <c r="C15" s="7">
        <v>5.2</v>
      </c>
      <c r="D15" s="8">
        <v>3.88</v>
      </c>
      <c r="E15" s="3">
        <f>C15-D15</f>
        <v>1.3200000000000003</v>
      </c>
      <c r="F15" s="4">
        <f>B15*C15</f>
        <v>3827200</v>
      </c>
      <c r="G15" s="6">
        <f>E15*B15</f>
        <v>971520.00000000023</v>
      </c>
      <c r="H15" s="14">
        <v>9500</v>
      </c>
      <c r="I15" s="7">
        <v>59</v>
      </c>
      <c r="J15" s="8">
        <v>33</v>
      </c>
      <c r="K15" s="3">
        <f>I15-J15</f>
        <v>26</v>
      </c>
      <c r="L15" s="4">
        <f>H15*I15</f>
        <v>560500</v>
      </c>
      <c r="M15" s="6">
        <f>H15*K15</f>
        <v>247000</v>
      </c>
      <c r="N15" s="13">
        <f>L15-F15</f>
        <v>-3266700</v>
      </c>
      <c r="O15" s="15">
        <f>L15/F15</f>
        <v>0.14645171404682275</v>
      </c>
      <c r="P15" s="13">
        <f>M15-G15</f>
        <v>-724520.00000000023</v>
      </c>
      <c r="Q15" s="30">
        <f>M15/G15</f>
        <v>0.25424077733860334</v>
      </c>
    </row>
    <row r="16" spans="1:17" x14ac:dyDescent="0.3">
      <c r="A16" s="26" t="s">
        <v>27</v>
      </c>
      <c r="B16" s="36">
        <v>75000</v>
      </c>
      <c r="C16" s="37">
        <v>3.7</v>
      </c>
      <c r="D16" s="38">
        <v>3.52</v>
      </c>
      <c r="E16" s="5">
        <f>C16-D16</f>
        <v>0.18000000000000016</v>
      </c>
      <c r="F16" s="4">
        <f>B16*C16</f>
        <v>277500</v>
      </c>
      <c r="G16" s="6">
        <f>E16*B16</f>
        <v>13500.000000000013</v>
      </c>
      <c r="H16" s="39">
        <v>5400</v>
      </c>
      <c r="I16" s="37">
        <v>54.5</v>
      </c>
      <c r="J16" s="38">
        <v>35</v>
      </c>
      <c r="K16" s="5">
        <f>I16-J16</f>
        <v>19.5</v>
      </c>
      <c r="L16" s="4">
        <f>H16*I16</f>
        <v>294300</v>
      </c>
      <c r="M16" s="6">
        <f>H16*K16</f>
        <v>105300</v>
      </c>
      <c r="N16" s="13">
        <f t="shared" ref="N16" si="10">L16-F16</f>
        <v>16800</v>
      </c>
      <c r="O16" s="15">
        <f t="shared" ref="O16" si="11">L16/F16</f>
        <v>1.0605405405405406</v>
      </c>
      <c r="P16" s="13">
        <f t="shared" ref="P16" si="12">M16-G16</f>
        <v>91799.999999999985</v>
      </c>
      <c r="Q16" s="30">
        <f t="shared" ref="Q16" si="13">M16/G16</f>
        <v>7.7999999999999927</v>
      </c>
    </row>
    <row r="17" spans="1:17" ht="15" thickBot="1" x14ac:dyDescent="0.35">
      <c r="A17" s="26" t="s">
        <v>28</v>
      </c>
      <c r="B17" s="36">
        <v>1300000</v>
      </c>
      <c r="C17" s="37">
        <v>3.9</v>
      </c>
      <c r="D17" s="38">
        <v>3.76</v>
      </c>
      <c r="E17" s="5">
        <f>C17-D17</f>
        <v>0.14000000000000012</v>
      </c>
      <c r="F17" s="4">
        <f>B17*C17</f>
        <v>5070000</v>
      </c>
      <c r="G17" s="6">
        <f>E17*B17</f>
        <v>182000.00000000017</v>
      </c>
      <c r="H17" s="39">
        <v>5400</v>
      </c>
      <c r="I17" s="37">
        <v>54.5</v>
      </c>
      <c r="J17" s="38">
        <v>35</v>
      </c>
      <c r="K17" s="5">
        <f>I17-J17</f>
        <v>19.5</v>
      </c>
      <c r="L17" s="4">
        <f>H17*I17</f>
        <v>294300</v>
      </c>
      <c r="M17" s="6">
        <f>H17*K17</f>
        <v>105300</v>
      </c>
      <c r="N17" s="13">
        <f t="shared" ref="N17:N18" si="14">L17-F17</f>
        <v>-4775700</v>
      </c>
      <c r="O17" s="15">
        <f t="shared" ref="O17:O18" si="15">L17/F17</f>
        <v>5.8047337278106508E-2</v>
      </c>
      <c r="P17" s="13">
        <f t="shared" ref="P17:P18" si="16">M17-G17</f>
        <v>-76700.000000000175</v>
      </c>
      <c r="Q17" s="30">
        <f t="shared" ref="Q17:Q18" si="17">M17/G17</f>
        <v>0.57857142857142807</v>
      </c>
    </row>
    <row r="18" spans="1:17" ht="15" thickBot="1" x14ac:dyDescent="0.35">
      <c r="A18" s="27" t="s">
        <v>6</v>
      </c>
      <c r="B18" s="43"/>
      <c r="C18" s="42"/>
      <c r="D18" s="42"/>
      <c r="E18" s="40"/>
      <c r="F18" s="32">
        <f>F15+F16+F17</f>
        <v>9174700</v>
      </c>
      <c r="G18" s="32">
        <f>G15+G16+G17</f>
        <v>1167020.0000000005</v>
      </c>
      <c r="H18" s="41"/>
      <c r="I18" s="42"/>
      <c r="J18" s="42"/>
      <c r="K18" s="40"/>
      <c r="L18" s="35">
        <f t="shared" ref="L18:M18" si="18">L15+L17</f>
        <v>854800</v>
      </c>
      <c r="M18" s="32">
        <f t="shared" si="18"/>
        <v>352300</v>
      </c>
      <c r="N18" s="21">
        <f t="shared" si="14"/>
        <v>-8319900</v>
      </c>
      <c r="O18" s="33">
        <f t="shared" si="15"/>
        <v>9.3169258940346819E-2</v>
      </c>
      <c r="P18" s="21">
        <f t="shared" si="16"/>
        <v>-814720.00000000047</v>
      </c>
      <c r="Q18" s="34">
        <f t="shared" si="17"/>
        <v>0.30188000205651988</v>
      </c>
    </row>
    <row r="21" spans="1:17" x14ac:dyDescent="0.3">
      <c r="A21" s="44" t="s">
        <v>29</v>
      </c>
    </row>
    <row r="22" spans="1:17" x14ac:dyDescent="0.3">
      <c r="A22" s="44" t="s">
        <v>24</v>
      </c>
    </row>
    <row r="23" spans="1:17" x14ac:dyDescent="0.3">
      <c r="F23" s="49" t="s">
        <v>40</v>
      </c>
    </row>
    <row r="24" spans="1:17" x14ac:dyDescent="0.3">
      <c r="A24" s="45" t="s">
        <v>30</v>
      </c>
      <c r="B24" s="46">
        <v>3500000</v>
      </c>
      <c r="F24" s="49"/>
      <c r="G24" s="49" t="s">
        <v>41</v>
      </c>
      <c r="H24" s="49" t="s">
        <v>42</v>
      </c>
      <c r="I24" s="49" t="s">
        <v>43</v>
      </c>
    </row>
    <row r="25" spans="1:17" x14ac:dyDescent="0.3">
      <c r="A25" s="45" t="s">
        <v>31</v>
      </c>
      <c r="B25" s="47">
        <v>0.04</v>
      </c>
      <c r="F25" s="49" t="s">
        <v>44</v>
      </c>
      <c r="G25" s="46">
        <v>403200</v>
      </c>
      <c r="H25" s="46"/>
      <c r="I25" s="46"/>
    </row>
    <row r="26" spans="1:17" x14ac:dyDescent="0.3">
      <c r="A26" s="45" t="s">
        <v>32</v>
      </c>
      <c r="B26" s="46">
        <v>1400000</v>
      </c>
      <c r="F26" s="49" t="s">
        <v>45</v>
      </c>
      <c r="G26" s="46"/>
      <c r="H26" s="46">
        <v>100800</v>
      </c>
      <c r="I26" s="46"/>
    </row>
    <row r="27" spans="1:17" x14ac:dyDescent="0.3">
      <c r="A27" s="45" t="s">
        <v>33</v>
      </c>
      <c r="B27" s="46">
        <v>1680000</v>
      </c>
      <c r="F27" s="49" t="s">
        <v>46</v>
      </c>
      <c r="G27" s="46"/>
      <c r="H27" s="46">
        <v>470400</v>
      </c>
      <c r="I27" s="46"/>
    </row>
    <row r="28" spans="1:17" x14ac:dyDescent="0.3">
      <c r="A28" s="45"/>
      <c r="B28" s="46"/>
      <c r="C28" s="49" t="s">
        <v>36</v>
      </c>
      <c r="D28" s="49" t="s">
        <v>37</v>
      </c>
      <c r="F28" s="49" t="s">
        <v>47</v>
      </c>
      <c r="G28" s="46"/>
      <c r="H28" s="46"/>
      <c r="I28" s="46">
        <v>705600</v>
      </c>
    </row>
    <row r="29" spans="1:17" x14ac:dyDescent="0.3">
      <c r="A29" s="45" t="s">
        <v>34</v>
      </c>
      <c r="B29" s="48">
        <v>504000</v>
      </c>
      <c r="C29" s="46">
        <f>B29*0.8</f>
        <v>403200</v>
      </c>
      <c r="D29" s="46">
        <f>B29*0.2</f>
        <v>100800</v>
      </c>
      <c r="F29" s="49" t="s">
        <v>48</v>
      </c>
      <c r="G29" s="46">
        <f t="shared" ref="G29:H29" si="19">SUM(G25:G28)</f>
        <v>403200</v>
      </c>
      <c r="H29" s="46">
        <f t="shared" si="19"/>
        <v>571200</v>
      </c>
      <c r="I29" s="46">
        <f>SUM(I25:I28)</f>
        <v>705600</v>
      </c>
    </row>
    <row r="30" spans="1:17" x14ac:dyDescent="0.3">
      <c r="A30" s="45"/>
      <c r="B30" s="48"/>
      <c r="C30" s="49" t="s">
        <v>38</v>
      </c>
      <c r="D30" s="49" t="s">
        <v>39</v>
      </c>
    </row>
    <row r="31" spans="1:17" x14ac:dyDescent="0.3">
      <c r="A31" s="45" t="s">
        <v>35</v>
      </c>
      <c r="B31" s="46">
        <v>1176000</v>
      </c>
      <c r="C31" s="46">
        <f>B31*0.4</f>
        <v>470400</v>
      </c>
      <c r="D31" s="46">
        <f>B31*0.6</f>
        <v>705600</v>
      </c>
    </row>
    <row r="33" spans="1:19" x14ac:dyDescent="0.3">
      <c r="A33" t="s">
        <v>56</v>
      </c>
    </row>
    <row r="34" spans="1:19" x14ac:dyDescent="0.3">
      <c r="A34" t="s">
        <v>49</v>
      </c>
    </row>
    <row r="35" spans="1:19" x14ac:dyDescent="0.3">
      <c r="A35" s="49"/>
      <c r="B35" s="49" t="s">
        <v>52</v>
      </c>
      <c r="C35" s="49" t="s">
        <v>53</v>
      </c>
      <c r="D35" s="49" t="s">
        <v>54</v>
      </c>
      <c r="E35" s="49" t="s">
        <v>55</v>
      </c>
    </row>
    <row r="36" spans="1:19" x14ac:dyDescent="0.3">
      <c r="A36" s="49" t="s">
        <v>50</v>
      </c>
      <c r="B36" s="50">
        <v>200000</v>
      </c>
      <c r="C36" s="50">
        <v>210000</v>
      </c>
      <c r="D36" s="50">
        <f>1200000*0.2</f>
        <v>240000</v>
      </c>
      <c r="E36" s="50"/>
      <c r="F36" s="51"/>
      <c r="G36" s="51"/>
      <c r="H36" s="51"/>
      <c r="I36" s="51"/>
    </row>
    <row r="37" spans="1:19" x14ac:dyDescent="0.3">
      <c r="A37" s="49" t="s">
        <v>51</v>
      </c>
      <c r="B37" s="50">
        <f>SUM(B38:B39)</f>
        <v>140000</v>
      </c>
      <c r="C37" s="50">
        <f>SUM(C38:C40)</f>
        <v>194000</v>
      </c>
      <c r="D37" s="50">
        <f t="shared" ref="D37:E37" si="20">SUM(D38:D39)</f>
        <v>140000</v>
      </c>
      <c r="E37" s="50">
        <f t="shared" si="20"/>
        <v>0</v>
      </c>
      <c r="F37" s="51"/>
      <c r="G37" s="51"/>
      <c r="H37" s="51"/>
      <c r="I37" s="51"/>
    </row>
    <row r="38" spans="1:19" x14ac:dyDescent="0.3">
      <c r="A38" s="46" t="s">
        <v>57</v>
      </c>
      <c r="B38" s="50">
        <v>120000</v>
      </c>
      <c r="C38" s="50">
        <f>700000*0.2</f>
        <v>140000</v>
      </c>
      <c r="D38" s="50">
        <f>600000*0.2</f>
        <v>120000</v>
      </c>
      <c r="E38" s="50"/>
      <c r="F38" s="51"/>
      <c r="G38" s="51"/>
      <c r="H38" s="51"/>
      <c r="I38" s="51"/>
    </row>
    <row r="39" spans="1:19" x14ac:dyDescent="0.3">
      <c r="A39" s="46" t="s">
        <v>58</v>
      </c>
      <c r="B39" s="50">
        <v>20000</v>
      </c>
      <c r="C39" s="50">
        <f>120000*0.2</f>
        <v>24000</v>
      </c>
      <c r="D39" s="50">
        <f>100000*0.2</f>
        <v>20000</v>
      </c>
      <c r="E39" s="50"/>
      <c r="F39" s="51"/>
      <c r="G39" s="51"/>
      <c r="H39" s="51"/>
      <c r="I39" s="51"/>
    </row>
    <row r="40" spans="1:19" x14ac:dyDescent="0.3">
      <c r="A40" s="46" t="s">
        <v>59</v>
      </c>
      <c r="B40" s="50"/>
      <c r="C40" s="50">
        <f>150000*0.2</f>
        <v>30000</v>
      </c>
      <c r="D40" s="50"/>
      <c r="E40" s="50"/>
      <c r="F40" s="51"/>
      <c r="G40" s="51"/>
      <c r="H40" s="51"/>
      <c r="I40" s="51"/>
    </row>
    <row r="41" spans="1:19" x14ac:dyDescent="0.3">
      <c r="A41" s="49" t="s">
        <v>51</v>
      </c>
      <c r="B41" s="50">
        <f>B36-B37</f>
        <v>60000</v>
      </c>
      <c r="C41" s="50">
        <f t="shared" ref="C41:E41" si="21">C36-C37</f>
        <v>16000</v>
      </c>
      <c r="D41" s="50">
        <f t="shared" si="21"/>
        <v>100000</v>
      </c>
      <c r="E41" s="50">
        <f t="shared" si="21"/>
        <v>0</v>
      </c>
      <c r="F41" s="51"/>
      <c r="G41" s="51"/>
      <c r="H41" s="51"/>
      <c r="I41" s="51"/>
    </row>
    <row r="42" spans="1:19" x14ac:dyDescent="0.3">
      <c r="A42" s="46" t="s">
        <v>60</v>
      </c>
      <c r="B42" s="50" t="s">
        <v>61</v>
      </c>
      <c r="C42" s="50">
        <v>60000</v>
      </c>
      <c r="D42" s="50">
        <v>16000</v>
      </c>
      <c r="E42" s="50">
        <v>100000</v>
      </c>
      <c r="F42" s="51"/>
      <c r="G42" s="51"/>
      <c r="H42" s="51"/>
      <c r="I42" s="51"/>
    </row>
    <row r="43" spans="1:19" x14ac:dyDescent="0.3">
      <c r="B43" s="51"/>
      <c r="C43" s="51"/>
      <c r="D43" s="51"/>
      <c r="E43" s="51"/>
      <c r="F43" s="51"/>
      <c r="G43" s="51"/>
      <c r="H43" s="51"/>
      <c r="I43" s="51"/>
    </row>
    <row r="44" spans="1:19" x14ac:dyDescent="0.3">
      <c r="A44" s="46" t="s">
        <v>62</v>
      </c>
      <c r="B44" s="51"/>
      <c r="C44" s="51"/>
      <c r="D44" s="51"/>
      <c r="E44" s="51"/>
      <c r="F44" s="51"/>
      <c r="G44" s="51"/>
      <c r="H44" s="51"/>
      <c r="I44" s="51"/>
    </row>
    <row r="45" spans="1:19" x14ac:dyDescent="0.3">
      <c r="A45" s="49"/>
      <c r="B45" s="52" t="s">
        <v>52</v>
      </c>
      <c r="C45" s="52" t="s">
        <v>53</v>
      </c>
      <c r="D45" s="52" t="s">
        <v>54</v>
      </c>
      <c r="E45" s="52" t="s">
        <v>55</v>
      </c>
      <c r="F45" s="51"/>
      <c r="G45" s="51"/>
      <c r="H45" s="52" t="s">
        <v>52</v>
      </c>
      <c r="I45" s="52" t="s">
        <v>53</v>
      </c>
      <c r="J45" s="52" t="s">
        <v>71</v>
      </c>
      <c r="K45" s="52" t="s">
        <v>55</v>
      </c>
      <c r="M45" s="49" t="s">
        <v>40</v>
      </c>
    </row>
    <row r="46" spans="1:19" x14ac:dyDescent="0.3">
      <c r="A46" s="49" t="s">
        <v>50</v>
      </c>
      <c r="B46" s="50">
        <f>2000000*0.2</f>
        <v>400000</v>
      </c>
      <c r="C46" s="50">
        <f>2100000*0.2</f>
        <v>420000</v>
      </c>
      <c r="D46" s="50">
        <f>2200000*0.2</f>
        <v>440000</v>
      </c>
      <c r="E46" s="50">
        <f>1980000*0.2</f>
        <v>396000</v>
      </c>
      <c r="F46" s="51"/>
      <c r="G46" s="53" t="s">
        <v>67</v>
      </c>
      <c r="H46" s="54">
        <v>2000000</v>
      </c>
      <c r="I46" s="54">
        <v>2100000</v>
      </c>
      <c r="J46" s="54">
        <v>2200000</v>
      </c>
      <c r="K46" s="54">
        <v>1980000</v>
      </c>
      <c r="M46" s="49"/>
      <c r="N46" s="49" t="s">
        <v>72</v>
      </c>
      <c r="O46" s="49" t="s">
        <v>73</v>
      </c>
      <c r="P46" s="49" t="s">
        <v>52</v>
      </c>
      <c r="Q46" s="56" t="s">
        <v>53</v>
      </c>
      <c r="R46" s="56" t="s">
        <v>71</v>
      </c>
      <c r="S46" s="56" t="s">
        <v>55</v>
      </c>
    </row>
    <row r="47" spans="1:19" x14ac:dyDescent="0.3">
      <c r="A47" s="49" t="s">
        <v>51</v>
      </c>
      <c r="B47" s="50">
        <f>SUM(B48:B50)</f>
        <v>250000</v>
      </c>
      <c r="C47" s="50">
        <f>SUM(C48:C50)</f>
        <v>270000</v>
      </c>
      <c r="D47" s="50">
        <f>SUM(D48:D50)</f>
        <v>272000</v>
      </c>
      <c r="E47" s="50">
        <f t="shared" ref="E47" si="22">SUM(E48:E49)</f>
        <v>240000</v>
      </c>
      <c r="F47" s="51"/>
      <c r="G47" s="53" t="s">
        <v>68</v>
      </c>
      <c r="H47" s="54">
        <f>H46*1.2</f>
        <v>2400000</v>
      </c>
      <c r="I47" s="54">
        <f>I46*1.2</f>
        <v>2520000</v>
      </c>
      <c r="J47" s="54">
        <f>J46*1.2</f>
        <v>2640000</v>
      </c>
      <c r="K47" s="54">
        <f>K46*1.2</f>
        <v>2376000</v>
      </c>
      <c r="M47" s="49" t="s">
        <v>74</v>
      </c>
      <c r="N47" s="54"/>
      <c r="O47" s="54"/>
      <c r="P47" s="54">
        <v>1080000</v>
      </c>
      <c r="Q47" s="54"/>
      <c r="R47" s="54"/>
      <c r="S47" s="54"/>
    </row>
    <row r="48" spans="1:19" x14ac:dyDescent="0.3">
      <c r="A48" s="46" t="s">
        <v>57</v>
      </c>
      <c r="B48" s="50">
        <f>1100000*0.2</f>
        <v>220000</v>
      </c>
      <c r="C48" s="50">
        <f>1200000*0.2</f>
        <v>240000</v>
      </c>
      <c r="D48" s="50">
        <f>1200000*0.2</f>
        <v>240000</v>
      </c>
      <c r="E48" s="50">
        <f>1200000*0.2</f>
        <v>240000</v>
      </c>
      <c r="F48" s="51"/>
      <c r="G48" t="s">
        <v>78</v>
      </c>
      <c r="H48" s="57">
        <f>P52</f>
        <v>2280000</v>
      </c>
      <c r="I48" s="57">
        <f>Q52</f>
        <v>2460000</v>
      </c>
      <c r="J48" s="57">
        <f>R52</f>
        <v>2580000</v>
      </c>
      <c r="K48" s="57">
        <f>S52</f>
        <v>1320000</v>
      </c>
      <c r="M48" s="49" t="s">
        <v>75</v>
      </c>
      <c r="N48" s="54">
        <v>2000000</v>
      </c>
      <c r="O48" s="54">
        <f>N48*1.2</f>
        <v>2400000</v>
      </c>
      <c r="P48" s="54">
        <f>$O$48/2</f>
        <v>1200000</v>
      </c>
      <c r="Q48" s="54">
        <f>$O$48/2</f>
        <v>1200000</v>
      </c>
      <c r="R48" s="54"/>
      <c r="S48" s="54"/>
    </row>
    <row r="49" spans="1:19" x14ac:dyDescent="0.3">
      <c r="A49" s="46" t="s">
        <v>63</v>
      </c>
      <c r="B49" s="50"/>
      <c r="C49" s="50"/>
      <c r="D49" s="50"/>
      <c r="E49" s="50"/>
      <c r="F49" s="51"/>
      <c r="G49" s="53" t="s">
        <v>69</v>
      </c>
      <c r="H49" s="54">
        <v>490000</v>
      </c>
      <c r="I49" s="54">
        <f>B48</f>
        <v>220000</v>
      </c>
      <c r="J49" s="54">
        <f>C48</f>
        <v>240000</v>
      </c>
      <c r="K49" s="54">
        <f>D48</f>
        <v>240000</v>
      </c>
      <c r="M49" s="49" t="s">
        <v>76</v>
      </c>
      <c r="N49" s="54">
        <v>2100000</v>
      </c>
      <c r="O49" s="54">
        <f t="shared" ref="O49:O51" si="23">N49*1.2</f>
        <v>2520000</v>
      </c>
      <c r="P49" s="54"/>
      <c r="Q49" s="54">
        <f>$O$49/2</f>
        <v>1260000</v>
      </c>
      <c r="R49" s="54">
        <f>$O$49/2</f>
        <v>1260000</v>
      </c>
      <c r="S49" s="54"/>
    </row>
    <row r="50" spans="1:19" x14ac:dyDescent="0.3">
      <c r="A50" s="46" t="s">
        <v>64</v>
      </c>
      <c r="B50" s="50">
        <f>150000*0.2</f>
        <v>30000</v>
      </c>
      <c r="C50" s="50">
        <f>150000*0.2</f>
        <v>30000</v>
      </c>
      <c r="D50" s="50">
        <f>160000*0.2</f>
        <v>32000</v>
      </c>
      <c r="E50" s="50">
        <f>160000*0.2</f>
        <v>32000</v>
      </c>
      <c r="F50" s="51"/>
      <c r="G50" s="53" t="s">
        <v>70</v>
      </c>
      <c r="H50" s="54">
        <f>680000+150000</f>
        <v>830000</v>
      </c>
      <c r="I50" s="54">
        <f>700000+150000</f>
        <v>850000</v>
      </c>
      <c r="J50" s="54">
        <f>720000+160000</f>
        <v>880000</v>
      </c>
      <c r="K50" s="54">
        <f>720000+160000</f>
        <v>880000</v>
      </c>
      <c r="M50" s="49" t="s">
        <v>77</v>
      </c>
      <c r="N50" s="54">
        <v>2200000</v>
      </c>
      <c r="O50" s="54">
        <f t="shared" si="23"/>
        <v>2640000</v>
      </c>
      <c r="P50" s="54"/>
      <c r="Q50" s="54"/>
      <c r="R50" s="54">
        <f>$O$50/2</f>
        <v>1320000</v>
      </c>
      <c r="S50" s="54">
        <f>$O$50/2</f>
        <v>1320000</v>
      </c>
    </row>
    <row r="51" spans="1:19" x14ac:dyDescent="0.3">
      <c r="A51" s="49" t="s">
        <v>51</v>
      </c>
      <c r="B51" s="50">
        <f>B46-B47</f>
        <v>150000</v>
      </c>
      <c r="C51" s="50">
        <f t="shared" ref="C51:E51" si="24">C46-C47</f>
        <v>150000</v>
      </c>
      <c r="D51" s="50">
        <f t="shared" si="24"/>
        <v>168000</v>
      </c>
      <c r="E51" s="50">
        <f t="shared" si="24"/>
        <v>156000</v>
      </c>
      <c r="F51" s="51"/>
      <c r="G51" s="53" t="s">
        <v>65</v>
      </c>
      <c r="H51" s="54">
        <f>B52</f>
        <v>136000</v>
      </c>
      <c r="I51" s="54">
        <f>C52</f>
        <v>150000</v>
      </c>
      <c r="J51" s="54">
        <f>D52</f>
        <v>150000</v>
      </c>
      <c r="K51" s="54">
        <f>E52</f>
        <v>168000</v>
      </c>
      <c r="M51" s="49" t="s">
        <v>79</v>
      </c>
      <c r="N51" s="54">
        <v>1980000</v>
      </c>
      <c r="O51" s="54">
        <f t="shared" si="23"/>
        <v>2376000</v>
      </c>
      <c r="P51" s="54"/>
      <c r="Q51" s="54"/>
      <c r="R51" s="54"/>
      <c r="S51" s="54">
        <f>O51/2</f>
        <v>1188000</v>
      </c>
    </row>
    <row r="52" spans="1:19" x14ac:dyDescent="0.3">
      <c r="A52" s="46" t="s">
        <v>60</v>
      </c>
      <c r="B52" s="50">
        <v>136000</v>
      </c>
      <c r="C52" s="50">
        <f>B51</f>
        <v>150000</v>
      </c>
      <c r="D52" s="50">
        <f t="shared" ref="D52:E52" si="25">C51</f>
        <v>150000</v>
      </c>
      <c r="E52" s="50">
        <f t="shared" si="25"/>
        <v>168000</v>
      </c>
      <c r="F52" s="51"/>
      <c r="G52" s="53" t="s">
        <v>66</v>
      </c>
      <c r="H52" s="55">
        <f>H48-(H49+H50+H51)</f>
        <v>824000</v>
      </c>
      <c r="I52" s="55">
        <f t="shared" ref="I52:J52" si="26">I48-(I49+I50+I51)</f>
        <v>1240000</v>
      </c>
      <c r="J52" s="55">
        <f t="shared" si="26"/>
        <v>1310000</v>
      </c>
      <c r="K52" s="55">
        <f>K48-(K49+K50+K51)</f>
        <v>32000</v>
      </c>
      <c r="M52" s="49" t="s">
        <v>48</v>
      </c>
      <c r="N52" s="54"/>
      <c r="O52" s="54"/>
      <c r="P52" s="54">
        <f>SUM(P47:P50)</f>
        <v>2280000</v>
      </c>
      <c r="Q52" s="54">
        <f>SUM(Q47:Q50)</f>
        <v>2460000</v>
      </c>
      <c r="R52" s="54">
        <f>SUM(R47:R50)</f>
        <v>2580000</v>
      </c>
      <c r="S52" s="54">
        <f>SUM(S47:S50)</f>
        <v>1320000</v>
      </c>
    </row>
    <row r="53" spans="1:19" x14ac:dyDescent="0.3">
      <c r="B53" s="51"/>
      <c r="C53" s="51"/>
      <c r="D53" s="51"/>
      <c r="E53" s="51"/>
      <c r="F53" s="51"/>
      <c r="G53" s="51"/>
      <c r="H53" s="51"/>
      <c r="I53" s="51"/>
      <c r="M53" s="49" t="s">
        <v>80</v>
      </c>
    </row>
    <row r="54" spans="1:19" x14ac:dyDescent="0.3">
      <c r="B54" s="51"/>
      <c r="C54" s="51"/>
      <c r="D54" s="51"/>
      <c r="E54" s="51"/>
      <c r="F54" s="51"/>
      <c r="G54" s="51"/>
      <c r="H54" s="51"/>
      <c r="I54" s="51"/>
      <c r="M54" s="49"/>
      <c r="N54" s="49" t="s">
        <v>72</v>
      </c>
      <c r="O54" s="49" t="s">
        <v>73</v>
      </c>
      <c r="P54" s="49" t="s">
        <v>52</v>
      </c>
      <c r="Q54" s="56" t="s">
        <v>53</v>
      </c>
      <c r="R54" s="56" t="s">
        <v>71</v>
      </c>
      <c r="S54" s="56" t="s">
        <v>55</v>
      </c>
    </row>
    <row r="55" spans="1:19" x14ac:dyDescent="0.3">
      <c r="M55" s="49" t="s">
        <v>74</v>
      </c>
      <c r="N55" s="54"/>
      <c r="O55" s="54"/>
      <c r="P55" s="54">
        <v>490000</v>
      </c>
      <c r="Q55" s="54"/>
      <c r="R55" s="54"/>
      <c r="S55" s="54"/>
    </row>
    <row r="56" spans="1:19" x14ac:dyDescent="0.3">
      <c r="M56" s="49" t="s">
        <v>75</v>
      </c>
      <c r="N56" s="54">
        <v>1100000</v>
      </c>
      <c r="O56" s="54">
        <f>N56*1.2</f>
        <v>1320000</v>
      </c>
      <c r="P56" s="54"/>
      <c r="Q56" s="54">
        <f>O56</f>
        <v>1320000</v>
      </c>
      <c r="R56" s="54"/>
      <c r="S56" s="54"/>
    </row>
    <row r="57" spans="1:19" x14ac:dyDescent="0.3">
      <c r="M57" s="49" t="s">
        <v>76</v>
      </c>
      <c r="N57" s="54">
        <v>1200000</v>
      </c>
      <c r="O57" s="54">
        <f t="shared" ref="O57:O61" si="27">N57*1.2</f>
        <v>1440000</v>
      </c>
      <c r="P57" s="54"/>
      <c r="Q57" s="54"/>
      <c r="R57" s="54">
        <f>O57</f>
        <v>1440000</v>
      </c>
      <c r="S57" s="54"/>
    </row>
    <row r="58" spans="1:19" x14ac:dyDescent="0.3">
      <c r="M58" s="49" t="s">
        <v>77</v>
      </c>
      <c r="N58" s="54">
        <v>1200000</v>
      </c>
      <c r="O58" s="54">
        <f t="shared" si="27"/>
        <v>1440000</v>
      </c>
      <c r="P58" s="54"/>
      <c r="Q58" s="54"/>
      <c r="R58" s="54"/>
      <c r="S58" s="54">
        <f>O58</f>
        <v>1440000</v>
      </c>
    </row>
    <row r="59" spans="1:19" x14ac:dyDescent="0.3">
      <c r="M59" s="49" t="s">
        <v>79</v>
      </c>
      <c r="N59" s="54">
        <v>1980000</v>
      </c>
      <c r="O59" s="54">
        <f t="shared" si="27"/>
        <v>2376000</v>
      </c>
      <c r="P59" s="54"/>
      <c r="Q59" s="54"/>
      <c r="R59" s="54"/>
      <c r="S59" s="54"/>
    </row>
    <row r="60" spans="1:19" x14ac:dyDescent="0.3">
      <c r="M60" s="49" t="s">
        <v>58</v>
      </c>
      <c r="N60" s="54">
        <v>150000</v>
      </c>
      <c r="O60" s="54">
        <f t="shared" si="27"/>
        <v>180000</v>
      </c>
      <c r="P60" s="54">
        <f>O60</f>
        <v>180000</v>
      </c>
      <c r="Q60" s="54">
        <f>P60</f>
        <v>180000</v>
      </c>
      <c r="R60" s="54">
        <f>O61</f>
        <v>192000</v>
      </c>
      <c r="S60" s="54">
        <f>O61</f>
        <v>192000</v>
      </c>
    </row>
    <row r="61" spans="1:19" x14ac:dyDescent="0.3">
      <c r="M61" s="49"/>
      <c r="N61" s="54">
        <v>160000</v>
      </c>
      <c r="O61" s="54">
        <f t="shared" si="27"/>
        <v>192000</v>
      </c>
      <c r="P61" s="54"/>
      <c r="Q61" s="54"/>
      <c r="R61" s="54"/>
      <c r="S61" s="54"/>
    </row>
    <row r="62" spans="1:19" x14ac:dyDescent="0.3">
      <c r="M62" s="49" t="s">
        <v>81</v>
      </c>
      <c r="N62" s="54"/>
      <c r="O62" s="54"/>
      <c r="P62" s="54">
        <v>680000</v>
      </c>
      <c r="Q62" s="54">
        <v>700000</v>
      </c>
      <c r="R62" s="54">
        <v>720000</v>
      </c>
      <c r="S62" s="54">
        <v>720000</v>
      </c>
    </row>
    <row r="63" spans="1:19" x14ac:dyDescent="0.3">
      <c r="M63" s="49" t="s">
        <v>82</v>
      </c>
      <c r="N63" s="54"/>
      <c r="O63" s="54"/>
      <c r="P63" s="54">
        <f>B52</f>
        <v>136000</v>
      </c>
      <c r="Q63" s="54">
        <f t="shared" ref="Q63:S63" si="28">C52</f>
        <v>150000</v>
      </c>
      <c r="R63" s="54">
        <f t="shared" si="28"/>
        <v>150000</v>
      </c>
      <c r="S63" s="54">
        <f t="shared" si="28"/>
        <v>168000</v>
      </c>
    </row>
    <row r="64" spans="1:19" x14ac:dyDescent="0.3">
      <c r="M64" s="49" t="s">
        <v>48</v>
      </c>
      <c r="N64" s="54"/>
      <c r="O64" s="54"/>
      <c r="P64" s="54">
        <f>SUM(P55:P63)</f>
        <v>1486000</v>
      </c>
      <c r="Q64" s="54">
        <f t="shared" ref="Q64:S64" si="29">SUM(Q55:Q63)</f>
        <v>2350000</v>
      </c>
      <c r="R64" s="54">
        <f t="shared" si="29"/>
        <v>2502000</v>
      </c>
      <c r="S64" s="54">
        <f t="shared" si="29"/>
        <v>2520000</v>
      </c>
    </row>
    <row r="67" spans="1:10" x14ac:dyDescent="0.3">
      <c r="A67" t="s">
        <v>83</v>
      </c>
    </row>
    <row r="68" spans="1:10" x14ac:dyDescent="0.3">
      <c r="A68" t="s">
        <v>84</v>
      </c>
      <c r="E68" t="s">
        <v>92</v>
      </c>
      <c r="F68" t="s">
        <v>93</v>
      </c>
      <c r="G68" t="s">
        <v>94</v>
      </c>
      <c r="H68" t="s">
        <v>95</v>
      </c>
      <c r="I68" t="s">
        <v>96</v>
      </c>
    </row>
    <row r="69" spans="1:10" x14ac:dyDescent="0.3">
      <c r="A69" t="s">
        <v>85</v>
      </c>
      <c r="B69">
        <v>560</v>
      </c>
      <c r="D69" t="s">
        <v>90</v>
      </c>
      <c r="E69" s="75">
        <f>B70/B69</f>
        <v>0.9464285714285714</v>
      </c>
      <c r="F69" s="75">
        <f>B71/B69</f>
        <v>0.17499999999999999</v>
      </c>
      <c r="G69" s="75">
        <f>B72/B69</f>
        <v>3.5714285714285712E-2</v>
      </c>
      <c r="H69" s="75">
        <f>B72/B71</f>
        <v>0.20408163265306123</v>
      </c>
      <c r="I69" s="75">
        <f>B73/B69</f>
        <v>1.7857142857142857E-3</v>
      </c>
    </row>
    <row r="70" spans="1:10" x14ac:dyDescent="0.3">
      <c r="A70" t="s">
        <v>86</v>
      </c>
      <c r="B70">
        <v>530</v>
      </c>
      <c r="D70" t="s">
        <v>97</v>
      </c>
      <c r="E70" s="75">
        <v>0.96</v>
      </c>
      <c r="F70" s="75">
        <v>0.19500000000000001</v>
      </c>
      <c r="G70" s="75">
        <v>3.6999999999999998E-2</v>
      </c>
      <c r="H70" s="75">
        <v>0.105</v>
      </c>
      <c r="I70" s="75">
        <v>2E-3</v>
      </c>
    </row>
    <row r="71" spans="1:10" x14ac:dyDescent="0.3">
      <c r="A71" t="s">
        <v>87</v>
      </c>
      <c r="B71">
        <v>98</v>
      </c>
      <c r="D71" t="s">
        <v>91</v>
      </c>
      <c r="E71" s="75">
        <f>E69-E70</f>
        <v>-1.3571428571428568E-2</v>
      </c>
      <c r="F71" s="75">
        <f t="shared" ref="F71:J71" si="30">F69-F70</f>
        <v>-2.0000000000000018E-2</v>
      </c>
      <c r="G71" s="75">
        <f t="shared" si="30"/>
        <v>-1.2857142857142859E-3</v>
      </c>
      <c r="H71" s="75">
        <f t="shared" si="30"/>
        <v>9.9081632653061233E-2</v>
      </c>
      <c r="I71" s="75">
        <f>I69-I70</f>
        <v>-2.1428571428571438E-4</v>
      </c>
    </row>
    <row r="72" spans="1:10" x14ac:dyDescent="0.3">
      <c r="A72" t="s">
        <v>88</v>
      </c>
      <c r="B72">
        <v>20</v>
      </c>
      <c r="E72" s="76"/>
      <c r="F72" s="76"/>
      <c r="G72" s="76"/>
      <c r="H72" s="76"/>
      <c r="I72" s="76"/>
      <c r="J72" s="76"/>
    </row>
    <row r="73" spans="1:10" x14ac:dyDescent="0.3">
      <c r="A73" t="s">
        <v>89</v>
      </c>
      <c r="B73">
        <v>1</v>
      </c>
    </row>
  </sheetData>
  <mergeCells count="19">
    <mergeCell ref="I7:L7"/>
    <mergeCell ref="B13:G13"/>
    <mergeCell ref="H13:M13"/>
    <mergeCell ref="N13:O13"/>
    <mergeCell ref="P13:Q13"/>
    <mergeCell ref="B1:G1"/>
    <mergeCell ref="H1:M1"/>
    <mergeCell ref="N1:O1"/>
    <mergeCell ref="P1:Q1"/>
    <mergeCell ref="B7:D7"/>
    <mergeCell ref="G8:H8"/>
    <mergeCell ref="G9:H9"/>
    <mergeCell ref="G10:H10"/>
    <mergeCell ref="G11:H11"/>
    <mergeCell ref="E7:H7"/>
    <mergeCell ref="K8:L8"/>
    <mergeCell ref="K9:L9"/>
    <mergeCell ref="K10:L10"/>
    <mergeCell ref="K11:L11"/>
  </mergeCells>
  <phoneticPr fontId="2" type="noConversion"/>
  <conditionalFormatting sqref="B9:H11 I11:K11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I9:L10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N3:N5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N15:N18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O3:O5 Q3:Q5">
    <cfRule type="cellIs" dxfId="7" priority="11" operator="lessThan">
      <formula>100%</formula>
    </cfRule>
    <cfRule type="cellIs" dxfId="6" priority="12" operator="greaterThan">
      <formula>100%</formula>
    </cfRule>
  </conditionalFormatting>
  <conditionalFormatting sqref="O15:O18 Q15:Q18">
    <cfRule type="cellIs" dxfId="5" priority="1" operator="lessThan">
      <formula>100%</formula>
    </cfRule>
    <cfRule type="cellIs" dxfId="4" priority="2" operator="greaterThan">
      <formula>100%</formula>
    </cfRule>
  </conditionalFormatting>
  <conditionalFormatting sqref="P3:P5">
    <cfRule type="cellIs" dxfId="3" priority="13" operator="lessThan">
      <formula>0</formula>
    </cfRule>
    <cfRule type="cellIs" dxfId="2" priority="14" operator="greaterThan">
      <formula>0</formula>
    </cfRule>
  </conditionalFormatting>
  <conditionalFormatting sqref="P15:P18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TDB R3.08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Gossard</dc:creator>
  <cp:lastModifiedBy>Matthieu Gossard</cp:lastModifiedBy>
  <dcterms:created xsi:type="dcterms:W3CDTF">2024-10-01T08:59:01Z</dcterms:created>
  <dcterms:modified xsi:type="dcterms:W3CDTF">2024-11-08T15:23:16Z</dcterms:modified>
</cp:coreProperties>
</file>